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<sst xmlns="http://schemas.openxmlformats.org/spreadsheetml/2006/main" count="1829" uniqueCount="278">
  <si>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</si>
  <si>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</si>
  <si>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</si>
  <si>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</si>
  <si>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</si>
  <si>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</si>
  <si>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</si>
  <si>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</si>
  <si>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</si>
  <si>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</si>
  <si>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</si>
  <si>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</si>
  <si>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</si>
  <si>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</si>
  <si>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</si>
  <si>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</si>
  <si>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</si>
  <si>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</si>
  <si>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</si>
  <si>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</si>
  <si>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</si>
  <si>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</si>
  <si>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</si>
  <si>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</si>
  <si>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</si>
  <si>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</si>
  <si>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</si>
  <si>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</si>
  <si>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</si>
  <si>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</si>
  <si>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</si>
  <si>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</si>
  <si>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</si>
  <si>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</si>
  <si>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</si>
  <si>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</si>
  <si>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</si>
  <si>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</si>
  <si>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</si>
  <si>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</si>
  <si>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</si>
  <si>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</si>
  <si>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</si>
  <si>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</si>
  <si>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</si>
  <si>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</si>
  <si>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</si>
  <si>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</si>
  <si>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</si>
  <si>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</si>
  <si>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</si>
  <si>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</si>
  <si>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</si>
  <si>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</si>
  <si>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</si>
  <si>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</si>
  <si>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</si>
  <si>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</si>
  <si>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</si>
  <si>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</si>
  <si>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</si>
  <si>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</si>
  <si>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</si>
  <si>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</si>
  <si>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</si>
  <si>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</si>
  <si>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</si>
  <si>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</si>
  <si>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</si>
  <si>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</si>
  <si>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</si>
  <si>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</si>
  <si>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</si>
  <si>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</si>
  <si>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</si>
  <si>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</si>
  <si>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</si>
  <si>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</si>
  <si>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</si>
  <si>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</si>
  <si>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</si>
  <si>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</si>
  <si>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</si>
  <si>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</si>
  <si>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</si>
  <si>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</si>
  <si>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</si>
  <si>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</si>
  <si>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</si>
  <si>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</si>
  <si>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</si>
  <si>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</si>
  <si>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</si>
  <si>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</si>
  <si>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</si>
  <si>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</si>
  <si>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</si>
  <si>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</si>
  <si>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</si>
  <si>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</si>
  <si>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</si>
  <si>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</si>
  <si>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</si>
  <si>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</si>
  <si>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</si>
  <si>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</si>
  <si>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</si>
  <si>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</si>
  <si>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</si>
  <si>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</si>
  <si>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</si>
  <si>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</si>
  <si>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</si>
  <si>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</si>
  <si>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</si>
  <si>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</si>
  <si>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</si>
  <si>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</si>
  <si>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</si>
  <si>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</si>
  <si>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</si>
  <si>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</si>
  <si>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</si>
  <si>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</si>
  <si>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</si>
  <si>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</si>
  <si>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</si>
  <si>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</si>
  <si>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</si>
  <si>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</si>
  <si>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</si>
  <si>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</si>
  <si>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</si>
  <si>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</si>
  <si>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</si>
  <si>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</si>
  <si>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</si>
  <si>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</si>
  <si>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</si>
  <si>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</si>
  <si>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</si>
  <si>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</si>
  <si>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</si>
  <si>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</si>
  <si>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</si>
  <si>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</si>
  <si>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</si>
  <si>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</si>
  <si>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</si>
  <si>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</si>
  <si>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</si>
  <si>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</si>
  <si>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</si>
  <si>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</si>
  <si>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</si>
  <si>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</si>
  <si>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</si>
  <si>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</si>
  <si>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</si>
  <si>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</si>
  <si>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</si>
  <si>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</si>
  <si>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</si>
  <si>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</si>
  <si>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</si>
  <si>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</si>
  <si>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</si>
  <si>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</si>
  <si>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</si>
  <si>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</si>
  <si>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</si>
  <si>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</si>
  <si>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</si>
  <si>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</si>
  <si>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</si>
  <si>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</si>
  <si>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</si>
  <si>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</si>
  <si>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</si>
  <si>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</si>
  <si>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</si>
  <si>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</si>
  <si>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</si>
  <si>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</si>
  <si>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</si>
  <si>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</si>
  <si>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</si>
  <si>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</si>
  <si>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</si>
  <si>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</si>
  <si>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</si>
  <si>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</si>
  <si>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</si>
  <si>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</si>
  <si>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</si>
  <si>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</si>
  <si>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</si>
  <si>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</si>
  <si>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</si>
  <si>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</si>
  <si>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</si>
  <si>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</si>
  <si>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</si>
  <si>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</si>
  <si>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</si>
  <si>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</si>
  <si>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</si>
  <si>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</si>
  <si>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</si>
  <si>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</si>
  <si>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</si>
  <si>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</si>
  <si>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</si>
  <si>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</si>
  <si>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</si>
  <si>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</si>
  <si>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</si>
  <si>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</si>
  <si>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</si>
  <si>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</si>
  <si>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</si>
  <si>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</si>
  <si>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</si>
  <si>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</si>
  <si>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</si>
  <si>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</si>
  <si>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</si>
  <si>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</si>
  <si>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</si>
  <si>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</si>
  <si>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</si>
  <si>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</si>
  <si>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</si>
  <si>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</si>
  <si>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</si>
  <si>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</si>
  <si>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</si>
  <si>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</si>
  <si>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</si>
  <si>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</si>
  <si>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</si>
  <si>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</si>
  <si>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</si>
  <si>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</si>
  <si>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</si>
  <si>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</si>
  <si>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</si>
  <si>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</si>
  <si>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</si>
  <si>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</si>
  <si>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</si>
  <si>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</si>
  <si>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</si>
  <si>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</si>
  <si>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</si>
  <si>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</si>
  <si>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</si>
  <si>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</si>
  <si>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</si>
  <si>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</si>
  <si>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</si>
  <si>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</si>
  <si>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</si>
  <si>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</si>
  <si>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</si>
  <si>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</si>
  <si>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</si>
  <si>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</si>
  <si>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</si>
  <si>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</si>
  <si>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</si>
  <si>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</si>
  <si>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</si>
  <si>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</si>
  <si>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</si>
  <si>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</si>
  <si>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</si>
  <si>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08.09.14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</si>
</sst>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грудень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8151093.899999993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49" sqref="H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319086.57999999996</v>
      </c>
      <c r="G8" s="22">
        <f aca="true" t="shared" si="0" ref="G8:G30">F8-E8</f>
        <v>-32272.219999999972</v>
      </c>
      <c r="H8" s="51">
        <f>F8/E8*100</f>
        <v>90.81502441379013</v>
      </c>
      <c r="I8" s="36">
        <f aca="true" t="shared" si="1" ref="I8:I17">F8-D8</f>
        <v>-169389.72000000003</v>
      </c>
      <c r="J8" s="36">
        <f aca="true" t="shared" si="2" ref="J8:J14">F8/D8*100</f>
        <v>65.32283756653085</v>
      </c>
      <c r="K8" s="36">
        <f>F8-344287.2</f>
        <v>-25200.620000000054</v>
      </c>
      <c r="L8" s="136">
        <f>F8/344287.2</f>
        <v>0.9268034942919747</v>
      </c>
      <c r="M8" s="22">
        <f>M10+M19+M33+M56+M68+M30</f>
        <v>39345.409999999996</v>
      </c>
      <c r="N8" s="22">
        <f>N10+N19+N33+N56+N68+N30</f>
        <v>10150.810000000005</v>
      </c>
      <c r="O8" s="36">
        <f aca="true" t="shared" si="3" ref="O8:O71">N8-M8</f>
        <v>-29194.59999999999</v>
      </c>
      <c r="P8" s="36">
        <f>F8/M8*100</f>
        <v>810.9880669689298</v>
      </c>
      <c r="Q8" s="36">
        <f>N8-37510.4</f>
        <v>-27359.589999999997</v>
      </c>
      <c r="R8" s="134">
        <f>N8/37510.4</f>
        <v>0.2706132166012627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259741.84</v>
      </c>
      <c r="G9" s="22">
        <f t="shared" si="0"/>
        <v>259741.84</v>
      </c>
      <c r="H9" s="20"/>
      <c r="I9" s="56">
        <f t="shared" si="1"/>
        <v>-127271.36000000002</v>
      </c>
      <c r="J9" s="56">
        <f t="shared" si="2"/>
        <v>67.11446534640162</v>
      </c>
      <c r="K9" s="56"/>
      <c r="L9" s="135"/>
      <c r="M9" s="20">
        <f>M10+M17</f>
        <v>32323.5</v>
      </c>
      <c r="N9" s="20">
        <f>N10+N17</f>
        <v>9463.410000000003</v>
      </c>
      <c r="O9" s="36">
        <f t="shared" si="3"/>
        <v>-22860.089999999997</v>
      </c>
      <c r="P9" s="56">
        <f>F9/M9*100</f>
        <v>803.5696629387287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259741.84</v>
      </c>
      <c r="G10" s="49">
        <f t="shared" si="0"/>
        <v>-27717.660000000003</v>
      </c>
      <c r="H10" s="40">
        <f aca="true" t="shared" si="4" ref="H10:H17">F10/E10*100</f>
        <v>90.3577164783213</v>
      </c>
      <c r="I10" s="56">
        <f t="shared" si="1"/>
        <v>-127271.36000000002</v>
      </c>
      <c r="J10" s="56">
        <f t="shared" si="2"/>
        <v>67.11446534640162</v>
      </c>
      <c r="K10" s="141">
        <f>F10-272674.4</f>
        <v>-12932.560000000027</v>
      </c>
      <c r="L10" s="142">
        <f>F10/272674.4</f>
        <v>0.9525714185123355</v>
      </c>
      <c r="M10" s="40">
        <f>E10-серпень!E10</f>
        <v>32323.5</v>
      </c>
      <c r="N10" s="40">
        <f>F10-серпень!F10</f>
        <v>9463.410000000003</v>
      </c>
      <c r="O10" s="53">
        <f t="shared" si="3"/>
        <v>-22860.089999999997</v>
      </c>
      <c r="P10" s="56">
        <f aca="true" t="shared" si="5" ref="P10:P17">N10/M10*100</f>
        <v>29.27718223583462</v>
      </c>
      <c r="Q10" s="141">
        <f>N10-29967.1</f>
        <v>-20503.689999999995</v>
      </c>
      <c r="R10" s="142">
        <f>N10/29967.1</f>
        <v>0.31579332000760846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72.71</v>
      </c>
      <c r="G19" s="49">
        <f t="shared" si="0"/>
        <v>-983.8899999999999</v>
      </c>
      <c r="H19" s="40">
        <f aca="true" t="shared" si="6" ref="H19:H29">F19/E19*100</f>
        <v>6.881506719666857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F19-6479.1</f>
        <v>-6406.39</v>
      </c>
      <c r="L19" s="168">
        <f>F19/6479.1</f>
        <v>0.01122223765646463</v>
      </c>
      <c r="M19" s="40">
        <f>E19-серпень!E19</f>
        <v>11</v>
      </c>
      <c r="N19" s="40">
        <f>F19-серпень!F19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N19-362</f>
        <v>-362</v>
      </c>
      <c r="R19" s="135">
        <f>N19/362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573.12</v>
      </c>
      <c r="G29" s="49">
        <f t="shared" si="0"/>
        <v>-223.48000000000002</v>
      </c>
      <c r="H29" s="40">
        <f t="shared" si="6"/>
        <v>71.94576952046197</v>
      </c>
      <c r="I29" s="56">
        <f t="shared" si="7"/>
        <v>-356.88</v>
      </c>
      <c r="J29" s="56">
        <f t="shared" si="8"/>
        <v>61.62580645161291</v>
      </c>
      <c r="K29" s="148">
        <f>F29-2860</f>
        <v>-2286.88</v>
      </c>
      <c r="L29" s="149">
        <f>F29/2860</f>
        <v>0.20039160839160838</v>
      </c>
      <c r="M29" s="40">
        <f>E29-серпень!E29</f>
        <v>11</v>
      </c>
      <c r="N29" s="40">
        <f>F29-серпень!F29</f>
        <v>0</v>
      </c>
      <c r="O29" s="148">
        <f t="shared" si="3"/>
        <v>-11</v>
      </c>
      <c r="P29" s="145">
        <f t="shared" si="9"/>
        <v>0</v>
      </c>
      <c r="Q29" s="148">
        <f>N29-361.95</f>
        <v>-361.95</v>
      </c>
      <c r="R29" s="149">
        <f>N29/361.95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54867.74</v>
      </c>
      <c r="G33" s="49">
        <f aca="true" t="shared" si="14" ref="G33:G72">F33-E33</f>
        <v>-2834.3600000000006</v>
      </c>
      <c r="H33" s="40">
        <f aca="true" t="shared" si="15" ref="H33:H67">F33/E33*100</f>
        <v>95.08794307312905</v>
      </c>
      <c r="I33" s="56">
        <f>F33-D33</f>
        <v>-38698.26</v>
      </c>
      <c r="J33" s="56">
        <f aca="true" t="shared" si="16" ref="J33:J72">F33/D33*100</f>
        <v>58.64068144411432</v>
      </c>
      <c r="K33" s="141">
        <f>F33-60413.2</f>
        <v>-5545.459999999999</v>
      </c>
      <c r="L33" s="142">
        <f>F33/60413.2</f>
        <v>0.908207808889448</v>
      </c>
      <c r="M33" s="40">
        <f>E33-серпень!E33</f>
        <v>6401.309999999998</v>
      </c>
      <c r="N33" s="40">
        <f>F33-серпень!F33</f>
        <v>575</v>
      </c>
      <c r="O33" s="53">
        <f t="shared" si="3"/>
        <v>-5826.309999999998</v>
      </c>
      <c r="P33" s="56">
        <f aca="true" t="shared" si="17" ref="P33:P67">N33/M33*100</f>
        <v>8.982536387083272</v>
      </c>
      <c r="Q33" s="141">
        <f>N33-6624.9</f>
        <v>-6049.9</v>
      </c>
      <c r="R33" s="142">
        <f>N33/6624.9</f>
        <v>0.08679376292472339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40662.24</v>
      </c>
      <c r="G55" s="144">
        <f t="shared" si="14"/>
        <v>-1809.5999999999985</v>
      </c>
      <c r="H55" s="146">
        <f t="shared" si="15"/>
        <v>95.7392945537561</v>
      </c>
      <c r="I55" s="145">
        <f t="shared" si="18"/>
        <v>-29603.760000000002</v>
      </c>
      <c r="J55" s="145">
        <f t="shared" si="16"/>
        <v>57.86901203996243</v>
      </c>
      <c r="K55" s="148">
        <f>F55-43813.51</f>
        <v>-3151.270000000004</v>
      </c>
      <c r="L55" s="149">
        <f>F55/43813.51</f>
        <v>0.9280753813150326</v>
      </c>
      <c r="M55" s="40">
        <f>E55-серпень!E55</f>
        <v>4681.3499999999985</v>
      </c>
      <c r="N55" s="40">
        <f>F55-серпень!F55</f>
        <v>521.9700000000012</v>
      </c>
      <c r="O55" s="148">
        <f t="shared" si="3"/>
        <v>-4159.379999999997</v>
      </c>
      <c r="P55" s="148">
        <f t="shared" si="17"/>
        <v>11.149988785286325</v>
      </c>
      <c r="Q55" s="160">
        <f>N55-4961.43</f>
        <v>-4439.459999999999</v>
      </c>
      <c r="R55" s="161">
        <f>N55/7961.43</f>
        <v>0.0655623424435059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1.51+4398.18</f>
        <v>4399.6900000000005</v>
      </c>
      <c r="G56" s="49">
        <f t="shared" si="14"/>
        <v>-713.8099999999995</v>
      </c>
      <c r="H56" s="40">
        <f t="shared" si="15"/>
        <v>86.04067664026597</v>
      </c>
      <c r="I56" s="56">
        <f t="shared" si="18"/>
        <v>-2460.3099999999995</v>
      </c>
      <c r="J56" s="56">
        <f t="shared" si="16"/>
        <v>64.13542274052479</v>
      </c>
      <c r="K56" s="56">
        <f>F56-4694.5</f>
        <v>-294.8099999999995</v>
      </c>
      <c r="L56" s="135">
        <f>F56/4694.5</f>
        <v>0.9372009798700608</v>
      </c>
      <c r="M56" s="40">
        <f>E56-серпень!E56</f>
        <v>609.6000000000004</v>
      </c>
      <c r="N56" s="40">
        <f>F56-серпень!F56</f>
        <v>112.40000000000055</v>
      </c>
      <c r="O56" s="53">
        <f t="shared" si="3"/>
        <v>-497.1999999999998</v>
      </c>
      <c r="P56" s="56">
        <f t="shared" si="17"/>
        <v>18.43832020997383</v>
      </c>
      <c r="Q56" s="56">
        <f>N56-556.2</f>
        <v>-443.7999999999995</v>
      </c>
      <c r="R56" s="135">
        <f>N56/556.2</f>
        <v>0.20208558072635838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9353.74</v>
      </c>
      <c r="G74" s="50">
        <f aca="true" t="shared" si="24" ref="G74:G92">F74-E74</f>
        <v>-2826.26</v>
      </c>
      <c r="H74" s="51">
        <f aca="true" t="shared" si="25" ref="H74:H87">F74/E74*100</f>
        <v>76.79589490968802</v>
      </c>
      <c r="I74" s="36">
        <f aca="true" t="shared" si="26" ref="I74:I92">F74-D74</f>
        <v>-9004.56</v>
      </c>
      <c r="J74" s="36">
        <f aca="true" t="shared" si="27" ref="J74:J92">F74/D74*100</f>
        <v>50.95101398277618</v>
      </c>
      <c r="K74" s="36">
        <f>F74-14585.4</f>
        <v>-5231.66</v>
      </c>
      <c r="L74" s="136">
        <f>F74/14585.4</f>
        <v>0.6413084317193907</v>
      </c>
      <c r="M74" s="22">
        <f>M77+M86+M88+M89+M94+M95+M96+M97+M99+M87+M104</f>
        <v>1580.5</v>
      </c>
      <c r="N74" s="22">
        <f>N77+N86+N88+N89+N94+N95+N96+N97+N99+N32+N104+N87+N103</f>
        <v>744.0100000000001</v>
      </c>
      <c r="O74" s="55">
        <f aca="true" t="shared" si="28" ref="O74:O92">N74-M74</f>
        <v>-836.4899999999999</v>
      </c>
      <c r="P74" s="36">
        <f>N74/M74*100</f>
        <v>47.074343562163875</v>
      </c>
      <c r="Q74" s="36">
        <f>N74-1622.9</f>
        <v>-878.89</v>
      </c>
      <c r="R74" s="136">
        <f>N74/1622.9</f>
        <v>0.4584447593813544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F87-210.3</f>
        <v>45.47</v>
      </c>
      <c r="L87" s="135">
        <f>F87/210.3</f>
        <v>1.2162149310508796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84.85</v>
      </c>
      <c r="G89" s="49">
        <f t="shared" si="24"/>
        <v>-44.150000000000006</v>
      </c>
      <c r="H89" s="40">
        <f>F89/E89*100</f>
        <v>65.7751937984496</v>
      </c>
      <c r="I89" s="56">
        <f t="shared" si="26"/>
        <v>-90.15</v>
      </c>
      <c r="J89" s="56">
        <f t="shared" si="27"/>
        <v>48.48571428571428</v>
      </c>
      <c r="K89" s="56">
        <f>F89-123.2</f>
        <v>-38.35000000000001</v>
      </c>
      <c r="L89" s="135">
        <f>F89/123.2</f>
        <v>0.6887175324675324</v>
      </c>
      <c r="M89" s="40">
        <f>E89-серпень!E89</f>
        <v>15</v>
      </c>
      <c r="N89" s="40">
        <f>F89-серпень!F89</f>
        <v>2.489999999999995</v>
      </c>
      <c r="O89" s="53">
        <f t="shared" si="28"/>
        <v>-12.510000000000005</v>
      </c>
      <c r="P89" s="56">
        <f>N89/M89*100</f>
        <v>16.599999999999966</v>
      </c>
      <c r="Q89" s="56">
        <f>N89-14.8</f>
        <v>-12.310000000000006</v>
      </c>
      <c r="R89" s="135">
        <f>N89/14.8</f>
        <v>0.16824324324324288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708.28</v>
      </c>
      <c r="G96" s="49">
        <f t="shared" si="31"/>
        <v>-86.22000000000003</v>
      </c>
      <c r="H96" s="40">
        <f>F96/E96*100</f>
        <v>89.14789175582126</v>
      </c>
      <c r="I96" s="56">
        <f t="shared" si="32"/>
        <v>-491.72</v>
      </c>
      <c r="J96" s="56">
        <f>F96/D96*100</f>
        <v>59.023333333333326</v>
      </c>
      <c r="K96" s="56">
        <f>F96-795.5</f>
        <v>-87.22000000000003</v>
      </c>
      <c r="L96" s="135">
        <f>F96/795.5</f>
        <v>0.8903582652419861</v>
      </c>
      <c r="M96" s="40">
        <f>E96-серпень!E96</f>
        <v>100</v>
      </c>
      <c r="N96" s="40">
        <f>F96-серпень!F96</f>
        <v>22.620000000000005</v>
      </c>
      <c r="O96" s="53">
        <f t="shared" si="33"/>
        <v>-77.38</v>
      </c>
      <c r="P96" s="56">
        <f>N96/M96*100</f>
        <v>22.620000000000005</v>
      </c>
      <c r="Q96" s="56">
        <f>N96-102.1</f>
        <v>-79.47999999999999</v>
      </c>
      <c r="R96" s="135">
        <f>N96/102.1</f>
        <v>0.22154750244857987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2791.82</v>
      </c>
      <c r="G99" s="49">
        <f t="shared" si="31"/>
        <v>-215.17999999999984</v>
      </c>
      <c r="H99" s="40">
        <f>F99/E99*100</f>
        <v>92.84403059527769</v>
      </c>
      <c r="I99" s="56">
        <f t="shared" si="32"/>
        <v>-1780.8799999999997</v>
      </c>
      <c r="J99" s="56">
        <f>F99/D99*100</f>
        <v>61.05408183349007</v>
      </c>
      <c r="K99" s="56">
        <f>F99-3411.3</f>
        <v>-619.48</v>
      </c>
      <c r="L99" s="135">
        <f>F99/3411.3</f>
        <v>0.8184035411719872</v>
      </c>
      <c r="M99" s="40">
        <f>E99-серпень!E99</f>
        <v>410</v>
      </c>
      <c r="N99" s="40">
        <f>F99-серпень!F99</f>
        <v>89.16000000000031</v>
      </c>
      <c r="O99" s="53">
        <f t="shared" si="33"/>
        <v>-320.8399999999997</v>
      </c>
      <c r="P99" s="56">
        <f>N99/M99*100</f>
        <v>21.74634146341471</v>
      </c>
      <c r="Q99" s="56">
        <f>N99-432.2</f>
        <v>-343.0399999999997</v>
      </c>
      <c r="R99" s="135">
        <f>N99/432.2</f>
        <v>0.2062933826931983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655.4</v>
      </c>
      <c r="G102" s="144"/>
      <c r="H102" s="146"/>
      <c r="I102" s="145"/>
      <c r="J102" s="145"/>
      <c r="K102" s="148">
        <f>F102-545.2</f>
        <v>110.19999999999993</v>
      </c>
      <c r="L102" s="149">
        <f>F102/545.2</f>
        <v>1.2021276595744679</v>
      </c>
      <c r="M102" s="40">
        <f>E102-серпень!E102</f>
        <v>0</v>
      </c>
      <c r="N102" s="40">
        <f>F102-серпень!F102</f>
        <v>19.399999999999977</v>
      </c>
      <c r="O102" s="53"/>
      <c r="P102" s="60"/>
      <c r="Q102" s="60">
        <f>N102-124.1</f>
        <v>-104.70000000000002</v>
      </c>
      <c r="R102" s="138">
        <f>N102/124.1</f>
        <v>0.15632554391619644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328457.9199999999</v>
      </c>
      <c r="G107" s="50">
        <f>F107-E107</f>
        <v>-35105.080000000016</v>
      </c>
      <c r="H107" s="51">
        <f>F107/E107*100</f>
        <v>90.34415493325778</v>
      </c>
      <c r="I107" s="36">
        <f t="shared" si="34"/>
        <v>-178421.68000000005</v>
      </c>
      <c r="J107" s="36">
        <f t="shared" si="36"/>
        <v>64.79998800504103</v>
      </c>
      <c r="K107" s="36">
        <f>F107-358888.5</f>
        <v>-30430.580000000075</v>
      </c>
      <c r="L107" s="136">
        <f>F107/358888.5</f>
        <v>0.9152088183377286</v>
      </c>
      <c r="M107" s="22">
        <f>M8+M74+M105+M106</f>
        <v>40928.909999999996</v>
      </c>
      <c r="N107" s="22">
        <f>N8+N74+N105+N106</f>
        <v>10894.820000000005</v>
      </c>
      <c r="O107" s="55">
        <f t="shared" si="35"/>
        <v>-30034.08999999999</v>
      </c>
      <c r="P107" s="36">
        <f>N107/M107*100</f>
        <v>26.6188862591259</v>
      </c>
      <c r="Q107" s="36">
        <f>N107-39133.2</f>
        <v>-28238.37999999999</v>
      </c>
      <c r="R107" s="136">
        <f>N107/39133.2</f>
        <v>0.2784035039301669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260450.12</v>
      </c>
      <c r="G108" s="71">
        <f>G10-G18+G96</f>
        <v>-27803.880000000005</v>
      </c>
      <c r="H108" s="72">
        <f>F108/E108*100</f>
        <v>90.35438189929714</v>
      </c>
      <c r="I108" s="52">
        <f t="shared" si="34"/>
        <v>-127763.08000000002</v>
      </c>
      <c r="J108" s="52">
        <f t="shared" si="36"/>
        <v>67.08945496958887</v>
      </c>
      <c r="K108" s="52">
        <f>F108-273558.9</f>
        <v>-13108.780000000028</v>
      </c>
      <c r="L108" s="137">
        <f>F108/273558.9</f>
        <v>0.9520805939781157</v>
      </c>
      <c r="M108" s="71">
        <f>M10-M18+M96</f>
        <v>32423.5</v>
      </c>
      <c r="N108" s="71">
        <f>N10-N18+N96</f>
        <v>9486.030000000004</v>
      </c>
      <c r="O108" s="53">
        <f t="shared" si="35"/>
        <v>-22937.469999999994</v>
      </c>
      <c r="P108" s="52">
        <f>N108/M108*100</f>
        <v>29.25665026909496</v>
      </c>
      <c r="Q108" s="52">
        <f>N108-30069.2</f>
        <v>-20583.17</v>
      </c>
      <c r="R108" s="137">
        <f>N108/30069.2</f>
        <v>0.3154733082356699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68007.79999999993</v>
      </c>
      <c r="G109" s="62">
        <f>F109-E109</f>
        <v>-7301.200000000012</v>
      </c>
      <c r="H109" s="72">
        <f>F109/E109*100</f>
        <v>90.30501002536215</v>
      </c>
      <c r="I109" s="52">
        <f t="shared" si="34"/>
        <v>-50658.600000000035</v>
      </c>
      <c r="J109" s="52">
        <f t="shared" si="36"/>
        <v>57.3100726069047</v>
      </c>
      <c r="K109" s="52">
        <f>F109-85329.7</f>
        <v>-17321.900000000067</v>
      </c>
      <c r="L109" s="137">
        <f>F109/85329.7</f>
        <v>0.7970003410301446</v>
      </c>
      <c r="M109" s="71">
        <f>M107-M108</f>
        <v>8505.409999999996</v>
      </c>
      <c r="N109" s="71">
        <f>N107-N108</f>
        <v>1408.7900000000009</v>
      </c>
      <c r="O109" s="53">
        <f t="shared" si="35"/>
        <v>-7096.619999999995</v>
      </c>
      <c r="P109" s="52">
        <f>N109/M109*100</f>
        <v>16.563457846241413</v>
      </c>
      <c r="Q109" s="52">
        <f>N109-9064</f>
        <v>-7655.209999999999</v>
      </c>
      <c r="R109" s="137">
        <f>N109/9064</f>
        <v>0.15542696381288623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260450.12</v>
      </c>
      <c r="G110" s="111">
        <f>F110-E110</f>
        <v>-22433.97999999998</v>
      </c>
      <c r="H110" s="72">
        <f>F110/E110*100</f>
        <v>92.06955074534059</v>
      </c>
      <c r="I110" s="81">
        <f t="shared" si="34"/>
        <v>-127763.08000000002</v>
      </c>
      <c r="J110" s="52">
        <f t="shared" si="36"/>
        <v>67.08945496958887</v>
      </c>
      <c r="K110" s="52"/>
      <c r="L110" s="137"/>
      <c r="M110" s="72">
        <f>E110-серпень!E110</f>
        <v>32423.49999999997</v>
      </c>
      <c r="N110" s="71">
        <f>N108</f>
        <v>9486.030000000004</v>
      </c>
      <c r="O110" s="63">
        <f t="shared" si="35"/>
        <v>-22937.469999999965</v>
      </c>
      <c r="P110" s="52">
        <f>N110/M110*100</f>
        <v>29.256650269094987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2">
        <v>1028.06</v>
      </c>
      <c r="G115" s="49">
        <f t="shared" si="37"/>
        <v>-1651.54</v>
      </c>
      <c r="H115" s="40">
        <f aca="true" t="shared" si="39" ref="H115:H126">F115/E115*100</f>
        <v>38.36617405582923</v>
      </c>
      <c r="I115" s="60">
        <f t="shared" si="38"/>
        <v>-2643.44</v>
      </c>
      <c r="J115" s="60">
        <f aca="true" t="shared" si="40" ref="J115:J121">F115/D115*100</f>
        <v>28.00108947296745</v>
      </c>
      <c r="K115" s="60">
        <f>F115-3077.6</f>
        <v>-2049.54</v>
      </c>
      <c r="L115" s="138">
        <f>F115/3077.6</f>
        <v>0.33404600987782684</v>
      </c>
      <c r="M115" s="40">
        <f>E115-серпень!E115</f>
        <v>327.5</v>
      </c>
      <c r="N115" s="40">
        <f>F115-серпень!F115</f>
        <v>42.539999999999964</v>
      </c>
      <c r="O115" s="53">
        <f aca="true" t="shared" si="41" ref="O115:O126">N115-M115</f>
        <v>-284.96000000000004</v>
      </c>
      <c r="P115" s="60">
        <f>N115/M115*100</f>
        <v>12.989312977099226</v>
      </c>
      <c r="Q115" s="60">
        <f>N115-150.5</f>
        <v>-107.96000000000004</v>
      </c>
      <c r="R115" s="138">
        <f>N115/150.5</f>
        <v>0.28265780730896983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223.52</v>
      </c>
      <c r="G116" s="49">
        <f t="shared" si="37"/>
        <v>23.02000000000001</v>
      </c>
      <c r="H116" s="40">
        <f t="shared" si="39"/>
        <v>111.48129675810475</v>
      </c>
      <c r="I116" s="60">
        <f t="shared" si="38"/>
        <v>-44.58000000000001</v>
      </c>
      <c r="J116" s="60">
        <f t="shared" si="40"/>
        <v>83.37187616560985</v>
      </c>
      <c r="K116" s="60">
        <f>F116-200.1</f>
        <v>23.420000000000016</v>
      </c>
      <c r="L116" s="138">
        <f>F116/200.1</f>
        <v>1.11704147926037</v>
      </c>
      <c r="M116" s="40">
        <f>E116-серпень!E116</f>
        <v>22</v>
      </c>
      <c r="N116" s="40">
        <f>F116-серпень!F116</f>
        <v>16.200000000000017</v>
      </c>
      <c r="O116" s="53">
        <f t="shared" si="41"/>
        <v>-5.799999999999983</v>
      </c>
      <c r="P116" s="60">
        <f>N116/M116*100</f>
        <v>73.63636363636371</v>
      </c>
      <c r="Q116" s="60">
        <f>N116-24.4</f>
        <v>-8.199999999999982</v>
      </c>
      <c r="R116" s="138">
        <f>N116/24.4</f>
        <v>0.6639344262295089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1250.84</v>
      </c>
      <c r="G117" s="62">
        <f t="shared" si="37"/>
        <v>-1629.26</v>
      </c>
      <c r="H117" s="72">
        <f t="shared" si="39"/>
        <v>43.430436443179055</v>
      </c>
      <c r="I117" s="61">
        <f t="shared" si="38"/>
        <v>-2688.76</v>
      </c>
      <c r="J117" s="61">
        <f t="shared" si="40"/>
        <v>31.750431515889936</v>
      </c>
      <c r="K117" s="61">
        <f>F117-3299.2</f>
        <v>-2048.3599999999997</v>
      </c>
      <c r="L117" s="139">
        <f>F117/3299.2</f>
        <v>0.3791343355965082</v>
      </c>
      <c r="M117" s="62">
        <f>M115+M116+M114</f>
        <v>349.5</v>
      </c>
      <c r="N117" s="38">
        <f>SUM(N114:N116)</f>
        <v>58.95999999999998</v>
      </c>
      <c r="O117" s="61">
        <f t="shared" si="41"/>
        <v>-290.54</v>
      </c>
      <c r="P117" s="61">
        <f>N117/M117*100</f>
        <v>16.869814020028606</v>
      </c>
      <c r="Q117" s="61">
        <f>N117-175.8</f>
        <v>-116.84000000000003</v>
      </c>
      <c r="R117" s="139">
        <f>N117/175.8</f>
        <v>0.3353811149032991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290.23</v>
      </c>
      <c r="G119" s="49">
        <f t="shared" si="37"/>
        <v>102.73000000000002</v>
      </c>
      <c r="H119" s="40">
        <f t="shared" si="39"/>
        <v>154.78933333333333</v>
      </c>
      <c r="I119" s="60">
        <f t="shared" si="38"/>
        <v>23.03000000000003</v>
      </c>
      <c r="J119" s="60">
        <f t="shared" si="40"/>
        <v>108.61901197604791</v>
      </c>
      <c r="K119" s="60">
        <f>F119-174.4</f>
        <v>115.83000000000001</v>
      </c>
      <c r="L119" s="138">
        <f>F119/174.4</f>
        <v>1.6641628440366973</v>
      </c>
      <c r="M119" s="40">
        <f>E119-серпень!E119</f>
        <v>5</v>
      </c>
      <c r="N119" s="40">
        <f>F119-серпень!F119</f>
        <v>1.4300000000000068</v>
      </c>
      <c r="O119" s="53">
        <f>N119-M119</f>
        <v>-3.569999999999993</v>
      </c>
      <c r="P119" s="60">
        <f>N119/M119*100</f>
        <v>28.600000000000136</v>
      </c>
      <c r="Q119" s="60">
        <f>N119-1.4</f>
        <v>0.03000000000000691</v>
      </c>
      <c r="R119" s="138">
        <f>N119/1.4</f>
        <v>1.0214285714285765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56896.58</v>
      </c>
      <c r="G120" s="49">
        <f t="shared" si="37"/>
        <v>4383.980000000003</v>
      </c>
      <c r="H120" s="40">
        <f t="shared" si="39"/>
        <v>108.34843447096507</v>
      </c>
      <c r="I120" s="53">
        <f t="shared" si="38"/>
        <v>-15079.410000000003</v>
      </c>
      <c r="J120" s="60">
        <f t="shared" si="40"/>
        <v>79.04938855304387</v>
      </c>
      <c r="K120" s="60">
        <f>F120-50659.1</f>
        <v>6237.480000000003</v>
      </c>
      <c r="L120" s="138">
        <f>F120/50659.1</f>
        <v>1.1231265458723112</v>
      </c>
      <c r="M120" s="40">
        <f>E120-серпень!E120</f>
        <v>3100</v>
      </c>
      <c r="N120" s="40">
        <f>F120-серпень!F120</f>
        <v>781.9500000000044</v>
      </c>
      <c r="O120" s="53">
        <f t="shared" si="41"/>
        <v>-2318.0499999999956</v>
      </c>
      <c r="P120" s="60">
        <f aca="true" t="shared" si="42" ref="P120:P125">N120/M120*100</f>
        <v>25.224193548387237</v>
      </c>
      <c r="Q120" s="60">
        <f>N120-3034.9</f>
        <v>-2252.9499999999957</v>
      </c>
      <c r="R120" s="138">
        <f>N120/3034.9</f>
        <v>0.25765264094368984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1754.72</v>
      </c>
      <c r="G121" s="49">
        <f t="shared" si="37"/>
        <v>31.720000000000027</v>
      </c>
      <c r="H121" s="40">
        <f t="shared" si="39"/>
        <v>101.84097504352874</v>
      </c>
      <c r="I121" s="60">
        <f t="shared" si="38"/>
        <v>-2995.2799999999997</v>
      </c>
      <c r="J121" s="60">
        <f t="shared" si="40"/>
        <v>36.94147368421053</v>
      </c>
      <c r="K121" s="60">
        <f>F121-1289.6</f>
        <v>465.1200000000001</v>
      </c>
      <c r="L121" s="138">
        <f>F121/1289.6</f>
        <v>1.3606699751861044</v>
      </c>
      <c r="M121" s="40">
        <f>E121-серпень!E121</f>
        <v>0</v>
      </c>
      <c r="N121" s="40">
        <f>F121-серпень!F121</f>
        <v>0.03999999999996362</v>
      </c>
      <c r="O121" s="53">
        <f t="shared" si="41"/>
        <v>0.03999999999996362</v>
      </c>
      <c r="P121" s="60" t="e">
        <f t="shared" si="42"/>
        <v>#DIV/0!</v>
      </c>
      <c r="Q121" s="60">
        <f>N121-167.3</f>
        <v>-167.26000000000005</v>
      </c>
      <c r="R121" s="138">
        <f>N121/167.3</f>
        <v>0.00023909145248035636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939.74</v>
      </c>
      <c r="G123" s="49">
        <f t="shared" si="37"/>
        <v>-491.48</v>
      </c>
      <c r="H123" s="40">
        <f t="shared" si="39"/>
        <v>65.66006623719623</v>
      </c>
      <c r="I123" s="60">
        <f t="shared" si="38"/>
        <v>-1060.26</v>
      </c>
      <c r="J123" s="60">
        <f>F123/D123*100</f>
        <v>46.987</v>
      </c>
      <c r="K123" s="60">
        <f>F123-1660.3</f>
        <v>-720.56</v>
      </c>
      <c r="L123" s="138">
        <f>F123/1660.3</f>
        <v>0.566006143468048</v>
      </c>
      <c r="M123" s="40">
        <f>E123-серпень!E123</f>
        <v>189.58999999999992</v>
      </c>
      <c r="N123" s="40">
        <f>F123-серпень!F123</f>
        <v>75.12</v>
      </c>
      <c r="O123" s="53">
        <f t="shared" si="41"/>
        <v>-114.46999999999991</v>
      </c>
      <c r="P123" s="60">
        <f t="shared" si="42"/>
        <v>39.62234295057758</v>
      </c>
      <c r="Q123" s="60">
        <f>N123-20.2</f>
        <v>54.92</v>
      </c>
      <c r="R123" s="138">
        <f>N123/20.2</f>
        <v>3.718811881188119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62193.060000000005</v>
      </c>
      <c r="G124" s="62">
        <f t="shared" si="37"/>
        <v>-6589.55999999999</v>
      </c>
      <c r="H124" s="72">
        <f t="shared" si="39"/>
        <v>90.41973103089124</v>
      </c>
      <c r="I124" s="61">
        <f t="shared" si="38"/>
        <v>-39878.13</v>
      </c>
      <c r="J124" s="61">
        <f>F124/D124*100</f>
        <v>60.931061938241335</v>
      </c>
      <c r="K124" s="61">
        <f>F124-76087.4</f>
        <v>-13894.33999999999</v>
      </c>
      <c r="L124" s="139">
        <f>F124/76087.4</f>
        <v>0.8173897386426663</v>
      </c>
      <c r="M124" s="62">
        <f>M120+M121+M122+M123+M119</f>
        <v>6608.889999999999</v>
      </c>
      <c r="N124" s="62">
        <f>N120+N121+N122+N123+N119</f>
        <v>878.5400000000043</v>
      </c>
      <c r="O124" s="61">
        <f t="shared" si="41"/>
        <v>-5730.349999999995</v>
      </c>
      <c r="P124" s="61">
        <f t="shared" si="42"/>
        <v>13.293306440264619</v>
      </c>
      <c r="Q124" s="61">
        <f>N124-10790.5</f>
        <v>-9911.959999999995</v>
      </c>
      <c r="R124" s="139">
        <f>N124/10790.5</f>
        <v>0.08141791390575083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7364.9</v>
      </c>
      <c r="G128" s="49">
        <f aca="true" t="shared" si="43" ref="G128:G135">F128-E128</f>
        <v>646.3999999999996</v>
      </c>
      <c r="H128" s="40">
        <f>F128/E128*100</f>
        <v>109.62119520726353</v>
      </c>
      <c r="I128" s="60">
        <f aca="true" t="shared" si="44" ref="I128:I135">F128-D128</f>
        <v>-1335.1000000000004</v>
      </c>
      <c r="J128" s="60">
        <f>F128/D128*100</f>
        <v>84.65402298850574</v>
      </c>
      <c r="K128" s="60">
        <f>F128-8715.2</f>
        <v>-1350.300000000001</v>
      </c>
      <c r="L128" s="138">
        <f>F128/8715.2</f>
        <v>0.8450637965852762</v>
      </c>
      <c r="M128" s="40">
        <f>E128-серпень!E128</f>
        <v>1</v>
      </c>
      <c r="N128" s="40">
        <f>F128-серпень!F128</f>
        <v>1.3799999999991996</v>
      </c>
      <c r="O128" s="53">
        <f aca="true" t="shared" si="45" ref="O128:O135">N128-M128</f>
        <v>0.37999999999919964</v>
      </c>
      <c r="P128" s="60">
        <f>N128/M128*100</f>
        <v>137.99999999991996</v>
      </c>
      <c r="Q128" s="60">
        <f>N128-35</f>
        <v>-33.6200000000008</v>
      </c>
      <c r="R128" s="162">
        <f>N128/35</f>
        <v>0.03942857142854856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7399.44</v>
      </c>
      <c r="G130" s="62">
        <f t="shared" si="43"/>
        <v>646.5799999999999</v>
      </c>
      <c r="H130" s="72">
        <f>F130/E130*100</f>
        <v>109.57490603981128</v>
      </c>
      <c r="I130" s="61">
        <f t="shared" si="44"/>
        <v>-1351.2600000000011</v>
      </c>
      <c r="J130" s="61">
        <f>F130/D130*100</f>
        <v>84.55826391031573</v>
      </c>
      <c r="K130" s="61">
        <f>F130-8836.4</f>
        <v>-1436.96</v>
      </c>
      <c r="L130" s="139">
        <f>G130/8836.4</f>
        <v>0.07317233262414558</v>
      </c>
      <c r="M130" s="62">
        <f>M125+M128+M129+M127</f>
        <v>5</v>
      </c>
      <c r="N130" s="62">
        <f>N125+N128+N129+N127</f>
        <v>1.4199999999991997</v>
      </c>
      <c r="O130" s="61">
        <f t="shared" si="45"/>
        <v>-3.5800000000008003</v>
      </c>
      <c r="P130" s="61">
        <f>N130/M130*100</f>
        <v>28.399999999983994</v>
      </c>
      <c r="Q130" s="61">
        <f>N130-35.8</f>
        <v>-34.3800000000008</v>
      </c>
      <c r="R130" s="137">
        <f>N130/35.8</f>
        <v>0.03966480446925139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70865.96</v>
      </c>
      <c r="G134" s="50">
        <f t="shared" si="43"/>
        <v>-7573.069999999992</v>
      </c>
      <c r="H134" s="51">
        <f>F134/E134*100</f>
        <v>90.34527836461008</v>
      </c>
      <c r="I134" s="36">
        <f t="shared" si="44"/>
        <v>-43925.53</v>
      </c>
      <c r="J134" s="36">
        <f>F134/D134*100</f>
        <v>61.73450662588316</v>
      </c>
      <c r="K134" s="36">
        <f>F134-88248.3</f>
        <v>-17382.339999999997</v>
      </c>
      <c r="L134" s="136">
        <f>F134/88248.3</f>
        <v>0.8030291801655103</v>
      </c>
      <c r="M134" s="31">
        <f>M117+M131+M124+M130+M133+M132</f>
        <v>6970.389999999999</v>
      </c>
      <c r="N134" s="31">
        <f>N117+N131+N124+N130+N133+N132</f>
        <v>938.9200000000035</v>
      </c>
      <c r="O134" s="36">
        <f t="shared" si="45"/>
        <v>-6031.469999999996</v>
      </c>
      <c r="P134" s="36">
        <f>N134/M134*100</f>
        <v>13.47012147096509</v>
      </c>
      <c r="Q134" s="36">
        <f>N134-11009.7</f>
        <v>-10070.779999999997</v>
      </c>
      <c r="R134" s="136">
        <f>N134/11009.7</f>
        <v>0.08528116115788835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399323.87999999995</v>
      </c>
      <c r="G135" s="50">
        <f t="shared" si="43"/>
        <v>-42678.149999999965</v>
      </c>
      <c r="H135" s="51">
        <f>F135/E135*100</f>
        <v>90.34435430081622</v>
      </c>
      <c r="I135" s="36">
        <f t="shared" si="44"/>
        <v>-222347.21000000002</v>
      </c>
      <c r="J135" s="36">
        <f>F135/D135*100</f>
        <v>64.23394724692763</v>
      </c>
      <c r="K135" s="36">
        <f>F135-447136.8</f>
        <v>-47812.92000000004</v>
      </c>
      <c r="L135" s="136">
        <f>F135/447136.8</f>
        <v>0.8930686984385986</v>
      </c>
      <c r="M135" s="22">
        <f>M107+M134</f>
        <v>47899.299999999996</v>
      </c>
      <c r="N135" s="22">
        <f>N107+N134</f>
        <v>11833.740000000009</v>
      </c>
      <c r="O135" s="36">
        <f t="shared" si="45"/>
        <v>-36065.55999999998</v>
      </c>
      <c r="P135" s="36">
        <f>N135/M135*100</f>
        <v>24.705454985772253</v>
      </c>
      <c r="Q135" s="36">
        <f>N135-50142.9</f>
        <v>-38309.15999999999</v>
      </c>
      <c r="R135" s="136">
        <f>N135/50142.9</f>
        <v>0.23600031111084538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16</v>
      </c>
      <c r="D137" s="4" t="s">
        <v>118</v>
      </c>
    </row>
    <row r="138" spans="2:17" ht="31.5">
      <c r="B138" s="78" t="s">
        <v>154</v>
      </c>
      <c r="C138" s="39">
        <f>IF(O107&lt;0,ABS(O107/C137),0)</f>
        <v>1877.1306249999993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41890</v>
      </c>
      <c r="D139" s="39">
        <v>1241.8</v>
      </c>
      <c r="N139" s="209"/>
      <c r="O139" s="209"/>
    </row>
    <row r="140" spans="3:15" ht="15.75">
      <c r="C140" s="120">
        <v>41887</v>
      </c>
      <c r="D140" s="39">
        <v>4939.5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41886</v>
      </c>
      <c r="D141" s="39">
        <v>2126.2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127612.83854000001</v>
      </c>
      <c r="E143" s="80"/>
      <c r="F143" s="100" t="s">
        <v>147</v>
      </c>
      <c r="G143" s="210" t="s">
        <v>149</v>
      </c>
      <c r="H143" s="210"/>
      <c r="I143" s="116">
        <v>113782.98058000002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8151.093899999993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68" sqref="J6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8151.093899999993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2014-09-08T09:03:32Z</cp:lastPrinted>
  <dcterms:created xsi:type="dcterms:W3CDTF">2003-07-28T11:27:56Z</dcterms:created>
  <dcterms:modified xsi:type="dcterms:W3CDTF">2014-09-09T11:29:01Z</dcterms:modified>
  <cp:category/>
  <cp:version/>
  <cp:contentType/>
  <cp:contentStatus/>
</cp:coreProperties>
</file>